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HICAS" sheetId="1" r:id="rId1"/>
    <sheet name="CHICOS" sheetId="2" r:id="rId2"/>
  </sheets>
  <calcPr calcId="152511"/>
</workbook>
</file>

<file path=xl/calcChain.xml><?xml version="1.0" encoding="utf-8"?>
<calcChain xmlns="http://schemas.openxmlformats.org/spreadsheetml/2006/main">
  <c r="Q17" i="2" l="1"/>
  <c r="M17" i="2"/>
  <c r="I17" i="2"/>
  <c r="E17" i="2"/>
  <c r="Q15" i="2" l="1"/>
  <c r="M15" i="2"/>
  <c r="I15" i="2"/>
  <c r="E13" i="2"/>
  <c r="I13" i="2"/>
  <c r="M13" i="2"/>
  <c r="Q13" i="2"/>
  <c r="Q11" i="2"/>
  <c r="M11" i="2"/>
  <c r="I11" i="2"/>
  <c r="E11" i="2"/>
  <c r="M9" i="2"/>
  <c r="Q9" i="2"/>
  <c r="Q7" i="2"/>
  <c r="M7" i="2"/>
  <c r="I7" i="2"/>
  <c r="E7" i="2"/>
  <c r="I5" i="1"/>
  <c r="M5" i="2"/>
  <c r="I5" i="2"/>
  <c r="E5" i="2"/>
  <c r="E37" i="1"/>
  <c r="I37" i="1"/>
  <c r="M37" i="1"/>
  <c r="Q35" i="1"/>
  <c r="M35" i="1"/>
  <c r="I35" i="1"/>
  <c r="E35" i="1"/>
  <c r="I33" i="1"/>
  <c r="M33" i="1"/>
  <c r="Q33" i="1"/>
  <c r="Q31" i="1"/>
  <c r="M31" i="1"/>
  <c r="I31" i="1"/>
  <c r="E31" i="1"/>
  <c r="Q29" i="1"/>
  <c r="M29" i="1"/>
  <c r="I29" i="1"/>
  <c r="E29" i="1"/>
  <c r="E27" i="1"/>
  <c r="I27" i="1"/>
  <c r="M27" i="1"/>
  <c r="Q21" i="1"/>
  <c r="Q23" i="1"/>
  <c r="Q27" i="1"/>
  <c r="Q25" i="1"/>
  <c r="M25" i="1"/>
  <c r="I25" i="1"/>
  <c r="E25" i="1"/>
  <c r="E23" i="1"/>
  <c r="I23" i="1"/>
  <c r="M23" i="1"/>
  <c r="M21" i="1"/>
  <c r="I21" i="1"/>
  <c r="E21" i="1"/>
  <c r="E19" i="1"/>
  <c r="I19" i="1"/>
  <c r="M19" i="1"/>
  <c r="Q19" i="1"/>
  <c r="Q17" i="1"/>
  <c r="M17" i="1"/>
  <c r="I17" i="1"/>
  <c r="E17" i="1"/>
  <c r="Q15" i="1"/>
  <c r="M15" i="1"/>
  <c r="I15" i="1"/>
  <c r="E15" i="1"/>
  <c r="Q13" i="1"/>
  <c r="M13" i="1"/>
  <c r="I13" i="1"/>
  <c r="E13" i="1"/>
  <c r="Q11" i="1"/>
  <c r="M11" i="1"/>
  <c r="I11" i="1"/>
  <c r="Q9" i="1"/>
  <c r="M9" i="1"/>
  <c r="I9" i="1"/>
  <c r="E9" i="1"/>
  <c r="Q7" i="1"/>
  <c r="M7" i="1"/>
  <c r="I7" i="1"/>
  <c r="E7" i="1" l="1"/>
  <c r="Q5" i="1"/>
  <c r="M5" i="1"/>
  <c r="E5" i="1"/>
</calcChain>
</file>

<file path=xl/sharedStrings.xml><?xml version="1.0" encoding="utf-8"?>
<sst xmlns="http://schemas.openxmlformats.org/spreadsheetml/2006/main" count="341" uniqueCount="235">
  <si>
    <t>Irati</t>
  </si>
  <si>
    <t>Laura V.</t>
  </si>
  <si>
    <t>Lucía</t>
  </si>
  <si>
    <t>Ohiane</t>
  </si>
  <si>
    <t>Carmen</t>
  </si>
  <si>
    <t>Elena</t>
  </si>
  <si>
    <t>Alba</t>
  </si>
  <si>
    <t>Paula</t>
  </si>
  <si>
    <t>Berta</t>
  </si>
  <si>
    <t>Fabiola</t>
  </si>
  <si>
    <t>Bárbara</t>
  </si>
  <si>
    <t>Laura Ald.</t>
  </si>
  <si>
    <t>Malena</t>
  </si>
  <si>
    <t>Laura Ant.</t>
  </si>
  <si>
    <t>Anne</t>
  </si>
  <si>
    <t>Raquel</t>
  </si>
  <si>
    <t>María</t>
  </si>
  <si>
    <t>11:30.70</t>
  </si>
  <si>
    <t>800 L</t>
  </si>
  <si>
    <t>400 L</t>
  </si>
  <si>
    <t>200 L</t>
  </si>
  <si>
    <t>100 L</t>
  </si>
  <si>
    <t xml:space="preserve">400 L </t>
  </si>
  <si>
    <t xml:space="preserve">200 L </t>
  </si>
  <si>
    <t>200 ESP</t>
  </si>
  <si>
    <t xml:space="preserve">100 ESP </t>
  </si>
  <si>
    <t>50 ESP</t>
  </si>
  <si>
    <t>200 X</t>
  </si>
  <si>
    <t>200 BR</t>
  </si>
  <si>
    <t>100 BR</t>
  </si>
  <si>
    <t>50 BR</t>
  </si>
  <si>
    <t>400 X</t>
  </si>
  <si>
    <t>200 MP</t>
  </si>
  <si>
    <t>100 MP</t>
  </si>
  <si>
    <t>50 MP</t>
  </si>
  <si>
    <t>100 X</t>
  </si>
  <si>
    <t>50 L</t>
  </si>
  <si>
    <t xml:space="preserve">100 L </t>
  </si>
  <si>
    <t>100 ESP</t>
  </si>
  <si>
    <t xml:space="preserve">200 MP </t>
  </si>
  <si>
    <t>5:27.79</t>
  </si>
  <si>
    <t>2:40.46</t>
  </si>
  <si>
    <t>1:10.78</t>
  </si>
  <si>
    <t>1:07.43</t>
  </si>
  <si>
    <t>2:27.45</t>
  </si>
  <si>
    <t>5:13.36</t>
  </si>
  <si>
    <t>10:31.06</t>
  </si>
  <si>
    <t>2:38.57</t>
  </si>
  <si>
    <t>1:16.24</t>
  </si>
  <si>
    <t>34.47</t>
  </si>
  <si>
    <t>2:49.55</t>
  </si>
  <si>
    <t>6:49.32</t>
  </si>
  <si>
    <t>41.50</t>
  </si>
  <si>
    <t>1:32.04</t>
  </si>
  <si>
    <t>DESC.</t>
  </si>
  <si>
    <t>3:09.90</t>
  </si>
  <si>
    <t>1:23.06</t>
  </si>
  <si>
    <t>36.95</t>
  </si>
  <si>
    <t>37.60</t>
  </si>
  <si>
    <t>1:33.41</t>
  </si>
  <si>
    <t>44.43</t>
  </si>
  <si>
    <t>1:37.95</t>
  </si>
  <si>
    <t>3:38.74</t>
  </si>
  <si>
    <t>3:28.04</t>
  </si>
  <si>
    <t>1:36.58</t>
  </si>
  <si>
    <t>44.80</t>
  </si>
  <si>
    <t>1:44.33</t>
  </si>
  <si>
    <t>1:17.18</t>
  </si>
  <si>
    <t>1:13.64</t>
  </si>
  <si>
    <t>29.36</t>
  </si>
  <si>
    <t>1:03.71</t>
  </si>
  <si>
    <t>1:06.72</t>
  </si>
  <si>
    <t>30.22</t>
  </si>
  <si>
    <t>38.23</t>
  </si>
  <si>
    <t>1:21.74</t>
  </si>
  <si>
    <t>1:26.23</t>
  </si>
  <si>
    <t>33.29</t>
  </si>
  <si>
    <t>40.14</t>
  </si>
  <si>
    <t>3:12.46</t>
  </si>
  <si>
    <t>2:54.29</t>
  </si>
  <si>
    <t>1:20.72</t>
  </si>
  <si>
    <t>36.77</t>
  </si>
  <si>
    <t>1:21.27</t>
  </si>
  <si>
    <t>5:20.82</t>
  </si>
  <si>
    <t>2:32.42</t>
  </si>
  <si>
    <t>1:10.60</t>
  </si>
  <si>
    <t>32.24</t>
  </si>
  <si>
    <t>5:54.92</t>
  </si>
  <si>
    <t>2:51.49</t>
  </si>
  <si>
    <t>2:47.17</t>
  </si>
  <si>
    <t>1:17.37</t>
  </si>
  <si>
    <t>3:13.38</t>
  </si>
  <si>
    <t>1:29.14</t>
  </si>
  <si>
    <t>41.17</t>
  </si>
  <si>
    <t>1:23.55</t>
  </si>
  <si>
    <t>2:54.65</t>
  </si>
  <si>
    <t>1:21.81</t>
  </si>
  <si>
    <t>37.79</t>
  </si>
  <si>
    <t>2:57.02</t>
  </si>
  <si>
    <t>1:20.17</t>
  </si>
  <si>
    <t>33.21</t>
  </si>
  <si>
    <t>1:17.20</t>
  </si>
  <si>
    <t>2:49.65</t>
  </si>
  <si>
    <t>6:22.50</t>
  </si>
  <si>
    <t>2:51.11</t>
  </si>
  <si>
    <t>47.74</t>
  </si>
  <si>
    <t>11:12.17</t>
  </si>
  <si>
    <t>10:51.78</t>
  </si>
  <si>
    <t>1:49.96</t>
  </si>
  <si>
    <t>1:13.69</t>
  </si>
  <si>
    <t>1:20.76</t>
  </si>
  <si>
    <t>1:15.38</t>
  </si>
  <si>
    <t>43.11</t>
  </si>
  <si>
    <t>46.77</t>
  </si>
  <si>
    <t>42.62</t>
  </si>
  <si>
    <t>37.34</t>
  </si>
  <si>
    <t>41.41</t>
  </si>
  <si>
    <t>S/T</t>
  </si>
  <si>
    <t>3:32.83</t>
  </si>
  <si>
    <t>2:41.06</t>
  </si>
  <si>
    <t>2:38.60</t>
  </si>
  <si>
    <t>46.64</t>
  </si>
  <si>
    <t>34.14</t>
  </si>
  <si>
    <t>41.47</t>
  </si>
  <si>
    <t>37.97</t>
  </si>
  <si>
    <t>1:40.27</t>
  </si>
  <si>
    <t>1:20.04</t>
  </si>
  <si>
    <t>1:28.40</t>
  </si>
  <si>
    <t>1:30.83</t>
  </si>
  <si>
    <t>35.13</t>
  </si>
  <si>
    <t>29.52</t>
  </si>
  <si>
    <t>31.81</t>
  </si>
  <si>
    <t>32.57</t>
  </si>
  <si>
    <t>2:46.07</t>
  </si>
  <si>
    <t>2:37.13</t>
  </si>
  <si>
    <t>2:24.25</t>
  </si>
  <si>
    <t>2:37.38</t>
  </si>
  <si>
    <t>2:53.49</t>
  </si>
  <si>
    <t>2:46.98</t>
  </si>
  <si>
    <t>3:00.88</t>
  </si>
  <si>
    <t>5:58.80</t>
  </si>
  <si>
    <t>6:47.48</t>
  </si>
  <si>
    <t>1:12.05</t>
  </si>
  <si>
    <t>1:09.25</t>
  </si>
  <si>
    <t>1:04.20</t>
  </si>
  <si>
    <t>1:07.61</t>
  </si>
  <si>
    <t>1:12.04</t>
  </si>
  <si>
    <t>1:37.33</t>
  </si>
  <si>
    <t>1:24.02</t>
  </si>
  <si>
    <t>1:18.97</t>
  </si>
  <si>
    <t>1:15.36</t>
  </si>
  <si>
    <t>1:15.83</t>
  </si>
  <si>
    <t>3:35.14</t>
  </si>
  <si>
    <t>3:20.02</t>
  </si>
  <si>
    <t>3:08.75</t>
  </si>
  <si>
    <t>3:18.80</t>
  </si>
  <si>
    <t>2:50.40</t>
  </si>
  <si>
    <t>3:11.29</t>
  </si>
  <si>
    <t>2:51.18</t>
  </si>
  <si>
    <t>1:35.67</t>
  </si>
  <si>
    <t>1:29.73</t>
  </si>
  <si>
    <t>1:21.49</t>
  </si>
  <si>
    <t>1:20.92</t>
  </si>
  <si>
    <t>1:22.05</t>
  </si>
  <si>
    <t>6:09.10</t>
  </si>
  <si>
    <t>5:37.87</t>
  </si>
  <si>
    <t>5:25.55</t>
  </si>
  <si>
    <t>5:06.86</t>
  </si>
  <si>
    <t>46.63</t>
  </si>
  <si>
    <t>36.09</t>
  </si>
  <si>
    <t>36.63</t>
  </si>
  <si>
    <t>Miguel</t>
  </si>
  <si>
    <t>Manuel</t>
  </si>
  <si>
    <t>Álvaro</t>
  </si>
  <si>
    <t>Nicolás</t>
  </si>
  <si>
    <t>Santi</t>
  </si>
  <si>
    <t>Sergio</t>
  </si>
  <si>
    <t>1500 L</t>
  </si>
  <si>
    <t>2:40.18</t>
  </si>
  <si>
    <t>1:17.19</t>
  </si>
  <si>
    <t>35.57</t>
  </si>
  <si>
    <t>5:47.05</t>
  </si>
  <si>
    <t>1:13.32</t>
  </si>
  <si>
    <t>1:26.04</t>
  </si>
  <si>
    <t>3:10.29</t>
  </si>
  <si>
    <t>6:33.63</t>
  </si>
  <si>
    <t>26:52.33</t>
  </si>
  <si>
    <t>3:38.29</t>
  </si>
  <si>
    <t>1:45.10</t>
  </si>
  <si>
    <t>45.93</t>
  </si>
  <si>
    <t>2:48.86</t>
  </si>
  <si>
    <t>1:15.81</t>
  </si>
  <si>
    <t>35.21</t>
  </si>
  <si>
    <t>4:50.05</t>
  </si>
  <si>
    <t>3:03.33</t>
  </si>
  <si>
    <t>2:57.40</t>
  </si>
  <si>
    <t>6:18.12</t>
  </si>
  <si>
    <t>25:00.98</t>
  </si>
  <si>
    <t>2:36.46</t>
  </si>
  <si>
    <t>1:04.44</t>
  </si>
  <si>
    <t>2:07.37</t>
  </si>
  <si>
    <t>56.46</t>
  </si>
  <si>
    <t>36.43</t>
  </si>
  <si>
    <t>4:59.27</t>
  </si>
  <si>
    <t>6:06.59</t>
  </si>
  <si>
    <t>1:29.20</t>
  </si>
  <si>
    <t>2:46.25</t>
  </si>
  <si>
    <t>1:41.56</t>
  </si>
  <si>
    <t>1:14.67</t>
  </si>
  <si>
    <t>56.44</t>
  </si>
  <si>
    <t>1:18.58</t>
  </si>
  <si>
    <t>23:29.02</t>
  </si>
  <si>
    <t>3:01.88</t>
  </si>
  <si>
    <t>2:04.27</t>
  </si>
  <si>
    <t>1:16.65</t>
  </si>
  <si>
    <t>49.43</t>
  </si>
  <si>
    <t>3:05.53</t>
  </si>
  <si>
    <t>2:40.07</t>
  </si>
  <si>
    <t>1:05.47</t>
  </si>
  <si>
    <t>2:53.92</t>
  </si>
  <si>
    <t>6:29.80</t>
  </si>
  <si>
    <t>35.65</t>
  </si>
  <si>
    <t>Roy</t>
  </si>
  <si>
    <t>26.35</t>
  </si>
  <si>
    <t>25.79</t>
  </si>
  <si>
    <t>28.73</t>
  </si>
  <si>
    <t>28.72</t>
  </si>
  <si>
    <t>32.10</t>
  </si>
  <si>
    <t>31.64</t>
  </si>
  <si>
    <t>1:07.69</t>
  </si>
  <si>
    <t>1:06.69</t>
  </si>
  <si>
    <t>Tiempo de Salida</t>
  </si>
  <si>
    <t>Tiempo Realizado</t>
  </si>
  <si>
    <t>Porcentaje de mejora (%)</t>
  </si>
  <si>
    <t>Puntos 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</si>
</sst>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20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2" fontId="2" fillId="4" borderId="11" xfId="1" applyNumberFormat="1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2" fontId="2" fillId="4" borderId="12" xfId="0" applyNumberFormat="1" applyFont="1" applyFill="1" applyBorder="1" applyAlignment="1">
      <alignment horizontal="center" vertical="center"/>
    </xf>
    <xf numFmtId="47" fontId="0" fillId="2" borderId="12" xfId="0" applyNumberForma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7"/>
  <sheetViews>
    <sheetView topLeftCell="A12" zoomScale="90" zoomScaleNormal="90" zoomScalePageLayoutView="50" workbookViewId="0">
      <selection activeCell="N37" sqref="N37"/>
    </sheetView>
  </sheetViews>
  <sheetFormatPr baseColWidth="10" defaultColWidth="9.140625" defaultRowHeight="15" x14ac:dyDescent="0.25"/>
  <cols>
    <col min="3" max="3" width="10.140625" customWidth="1"/>
    <col min="5" max="5" width="10.85546875" customWidth="1"/>
    <col min="7" max="7" width="10.5703125" customWidth="1"/>
    <col min="9" max="9" width="9.7109375" customWidth="1"/>
    <col min="11" max="11" width="10.5703125" customWidth="1"/>
    <col min="12" max="12" width="10" customWidth="1"/>
    <col min="13" max="13" width="11" customWidth="1"/>
    <col min="15" max="15" width="10.42578125" customWidth="1"/>
    <col min="16" max="16" width="10.140625" customWidth="1"/>
    <col min="17" max="17" width="10.42578125" customWidth="1"/>
  </cols>
  <sheetData>
    <row r="1" spans="2:18" ht="15.75" thickBot="1" x14ac:dyDescent="0.3"/>
    <row r="2" spans="2:18" x14ac:dyDescent="0.25">
      <c r="C2" s="27" t="s">
        <v>231</v>
      </c>
      <c r="D2" s="29" t="s">
        <v>232</v>
      </c>
      <c r="E2" s="29" t="s">
        <v>233</v>
      </c>
      <c r="F2" s="25" t="s">
        <v>234</v>
      </c>
      <c r="G2" s="27" t="s">
        <v>231</v>
      </c>
      <c r="H2" s="31" t="s">
        <v>232</v>
      </c>
      <c r="I2" s="29" t="s">
        <v>233</v>
      </c>
      <c r="J2" s="33" t="s">
        <v>234</v>
      </c>
      <c r="K2" s="27" t="s">
        <v>231</v>
      </c>
      <c r="L2" s="29" t="s">
        <v>232</v>
      </c>
      <c r="M2" s="29" t="s">
        <v>233</v>
      </c>
      <c r="N2" s="25" t="s">
        <v>234</v>
      </c>
      <c r="O2" s="27" t="s">
        <v>231</v>
      </c>
      <c r="P2" s="29" t="s">
        <v>232</v>
      </c>
      <c r="Q2" s="29" t="s">
        <v>233</v>
      </c>
      <c r="R2" s="25" t="s">
        <v>234</v>
      </c>
    </row>
    <row r="3" spans="2:18" ht="54" customHeight="1" thickBot="1" x14ac:dyDescent="0.3">
      <c r="C3" s="28"/>
      <c r="D3" s="30"/>
      <c r="E3" s="30"/>
      <c r="F3" s="26"/>
      <c r="G3" s="28"/>
      <c r="H3" s="32"/>
      <c r="I3" s="30"/>
      <c r="J3" s="34"/>
      <c r="K3" s="28"/>
      <c r="L3" s="30"/>
      <c r="M3" s="30"/>
      <c r="N3" s="26"/>
      <c r="O3" s="28"/>
      <c r="P3" s="30"/>
      <c r="Q3" s="30"/>
      <c r="R3" s="26"/>
    </row>
    <row r="4" spans="2:18" ht="15.75" thickBot="1" x14ac:dyDescent="0.3">
      <c r="B4" s="41" t="s">
        <v>0</v>
      </c>
      <c r="C4" s="35" t="s">
        <v>18</v>
      </c>
      <c r="D4" s="36"/>
      <c r="E4" s="36"/>
      <c r="F4" s="37"/>
      <c r="G4" s="35" t="s">
        <v>19</v>
      </c>
      <c r="H4" s="36"/>
      <c r="I4" s="36"/>
      <c r="J4" s="37"/>
      <c r="K4" s="35" t="s">
        <v>20</v>
      </c>
      <c r="L4" s="36"/>
      <c r="M4" s="36"/>
      <c r="N4" s="37"/>
      <c r="O4" s="35" t="s">
        <v>21</v>
      </c>
      <c r="P4" s="36"/>
      <c r="Q4" s="36"/>
      <c r="R4" s="37"/>
    </row>
    <row r="5" spans="2:18" ht="15.75" thickBot="1" x14ac:dyDescent="0.3">
      <c r="B5" s="42"/>
      <c r="C5" s="4" t="s">
        <v>106</v>
      </c>
      <c r="D5" s="7" t="s">
        <v>17</v>
      </c>
      <c r="E5" s="11">
        <f>((((11*60)+30.7)*100)/((11*60)+12.17))-100</f>
        <v>2.7567430858265141</v>
      </c>
      <c r="F5" s="23">
        <v>334</v>
      </c>
      <c r="G5" s="6" t="s">
        <v>166</v>
      </c>
      <c r="H5" s="7" t="s">
        <v>40</v>
      </c>
      <c r="I5" s="14">
        <f>((((5*60)+27.79)*100)/((5*60)+25.55))-100</f>
        <v>0.68806634925510934</v>
      </c>
      <c r="J5" s="23">
        <v>366</v>
      </c>
      <c r="K5" s="6" t="s">
        <v>136</v>
      </c>
      <c r="L5" s="7" t="s">
        <v>41</v>
      </c>
      <c r="M5" s="15">
        <f>((((2*60)+40.46)*100)/((2*60)+37.38))-100</f>
        <v>1.9570466387088601</v>
      </c>
      <c r="N5" s="23">
        <v>329</v>
      </c>
      <c r="O5" s="6" t="s">
        <v>142</v>
      </c>
      <c r="P5" s="7" t="s">
        <v>42</v>
      </c>
      <c r="Q5" s="16">
        <f>((70.78*100)/(72.05))-100</f>
        <v>-1.7626648160999281</v>
      </c>
      <c r="R5" s="23">
        <v>274</v>
      </c>
    </row>
    <row r="6" spans="2:18" ht="15.75" thickBot="1" x14ac:dyDescent="0.3">
      <c r="B6" s="43" t="s">
        <v>1</v>
      </c>
      <c r="C6" s="38" t="s">
        <v>18</v>
      </c>
      <c r="D6" s="39"/>
      <c r="E6" s="39"/>
      <c r="F6" s="40"/>
      <c r="G6" s="38" t="s">
        <v>22</v>
      </c>
      <c r="H6" s="39"/>
      <c r="I6" s="39"/>
      <c r="J6" s="40"/>
      <c r="K6" s="38" t="s">
        <v>23</v>
      </c>
      <c r="L6" s="39"/>
      <c r="M6" s="39"/>
      <c r="N6" s="40"/>
      <c r="O6" s="38" t="s">
        <v>21</v>
      </c>
      <c r="P6" s="39"/>
      <c r="Q6" s="39"/>
      <c r="R6" s="40"/>
    </row>
    <row r="7" spans="2:18" ht="15.75" thickBot="1" x14ac:dyDescent="0.3">
      <c r="B7" s="44"/>
      <c r="C7" s="8" t="s">
        <v>107</v>
      </c>
      <c r="D7" s="10" t="s">
        <v>46</v>
      </c>
      <c r="E7" s="17">
        <f>((((10*60)+31.06)*100)/((10*60)+51.78))-100</f>
        <v>-3.1789867746785774</v>
      </c>
      <c r="F7" s="24">
        <v>438</v>
      </c>
      <c r="G7" s="8" t="s">
        <v>167</v>
      </c>
      <c r="H7" s="10" t="s">
        <v>45</v>
      </c>
      <c r="I7" s="15">
        <f>((((5*60)+13.36)*100)/((5*60)+6.86))-100</f>
        <v>2.1182298116404894</v>
      </c>
      <c r="J7" s="24">
        <v>419</v>
      </c>
      <c r="K7" s="8" t="s">
        <v>135</v>
      </c>
      <c r="L7" s="10" t="s">
        <v>44</v>
      </c>
      <c r="M7" s="15">
        <f>((147.45*100)/(144.25))-100</f>
        <v>2.2183708838821303</v>
      </c>
      <c r="N7" s="24">
        <v>424</v>
      </c>
      <c r="O7" s="8" t="s">
        <v>143</v>
      </c>
      <c r="P7" s="10" t="s">
        <v>43</v>
      </c>
      <c r="Q7" s="18">
        <f>((67.43*100)/(69.25))-100</f>
        <v>-2.6281588447653235</v>
      </c>
      <c r="R7" s="24">
        <v>432</v>
      </c>
    </row>
    <row r="8" spans="2:18" ht="15.75" thickBot="1" x14ac:dyDescent="0.3">
      <c r="B8" s="41" t="s">
        <v>2</v>
      </c>
      <c r="C8" s="35" t="s">
        <v>24</v>
      </c>
      <c r="D8" s="36"/>
      <c r="E8" s="36"/>
      <c r="F8" s="37"/>
      <c r="G8" s="35" t="s">
        <v>25</v>
      </c>
      <c r="H8" s="36"/>
      <c r="I8" s="36"/>
      <c r="J8" s="37"/>
      <c r="K8" s="35" t="s">
        <v>26</v>
      </c>
      <c r="L8" s="36"/>
      <c r="M8" s="36"/>
      <c r="N8" s="37"/>
      <c r="O8" s="35" t="s">
        <v>27</v>
      </c>
      <c r="P8" s="36"/>
      <c r="Q8" s="36"/>
      <c r="R8" s="37"/>
    </row>
    <row r="9" spans="2:18" ht="15.75" thickBot="1" x14ac:dyDescent="0.3">
      <c r="B9" s="42"/>
      <c r="C9" s="6" t="s">
        <v>120</v>
      </c>
      <c r="D9" s="7" t="s">
        <v>47</v>
      </c>
      <c r="E9" s="18">
        <f>((((2*60)+38.57)*100)/((2*60)+38.6))-100</f>
        <v>-1.891551071878439E-2</v>
      </c>
      <c r="F9" s="23">
        <v>425</v>
      </c>
      <c r="G9" s="6" t="s">
        <v>151</v>
      </c>
      <c r="H9" s="7" t="s">
        <v>48</v>
      </c>
      <c r="I9" s="15">
        <f>(((76.24*100)/(75.83))-100)</f>
        <v>0.54068310694974286</v>
      </c>
      <c r="J9" s="23">
        <v>376</v>
      </c>
      <c r="K9" s="6" t="s">
        <v>169</v>
      </c>
      <c r="L9" s="7" t="s">
        <v>49</v>
      </c>
      <c r="M9" s="18">
        <f>(((34.47*100)/(36.09))-100)</f>
        <v>-4.4887780548628484</v>
      </c>
      <c r="N9" s="23">
        <v>395</v>
      </c>
      <c r="O9" s="6" t="s">
        <v>137</v>
      </c>
      <c r="P9" s="7" t="s">
        <v>50</v>
      </c>
      <c r="Q9" s="18">
        <f>((((2*60)+49.55)*100)/((2*60)+53.49)-100)</f>
        <v>-2.2710242665283289</v>
      </c>
      <c r="R9" s="23">
        <v>371</v>
      </c>
    </row>
    <row r="10" spans="2:18" ht="15.75" thickBot="1" x14ac:dyDescent="0.3">
      <c r="B10" s="43" t="s">
        <v>3</v>
      </c>
      <c r="C10" s="38" t="s">
        <v>28</v>
      </c>
      <c r="D10" s="39"/>
      <c r="E10" s="39"/>
      <c r="F10" s="40"/>
      <c r="G10" s="38" t="s">
        <v>29</v>
      </c>
      <c r="H10" s="39"/>
      <c r="I10" s="39"/>
      <c r="J10" s="40"/>
      <c r="K10" s="38" t="s">
        <v>30</v>
      </c>
      <c r="L10" s="39"/>
      <c r="M10" s="39"/>
      <c r="N10" s="40"/>
      <c r="O10" s="38" t="s">
        <v>31</v>
      </c>
      <c r="P10" s="39"/>
      <c r="Q10" s="39"/>
      <c r="R10" s="40"/>
    </row>
    <row r="11" spans="2:18" ht="15.75" thickBot="1" x14ac:dyDescent="0.3">
      <c r="B11" s="44"/>
      <c r="C11" s="8" t="s">
        <v>153</v>
      </c>
      <c r="D11" s="9" t="s">
        <v>54</v>
      </c>
      <c r="E11" s="12"/>
      <c r="F11" s="24">
        <v>0</v>
      </c>
      <c r="G11" s="8" t="s">
        <v>128</v>
      </c>
      <c r="H11" s="9" t="s">
        <v>53</v>
      </c>
      <c r="I11" s="14">
        <f>((92.04*100)/(90.83))-100</f>
        <v>1.3321589783111278</v>
      </c>
      <c r="J11" s="24">
        <v>334</v>
      </c>
      <c r="K11" s="8" t="s">
        <v>112</v>
      </c>
      <c r="L11" s="9" t="s">
        <v>52</v>
      </c>
      <c r="M11" s="17">
        <f>((41.5*100)/(43.11))-100</f>
        <v>-3.7346323358849389</v>
      </c>
      <c r="N11" s="24">
        <v>311</v>
      </c>
      <c r="O11" s="8" t="s">
        <v>141</v>
      </c>
      <c r="P11" s="9" t="s">
        <v>51</v>
      </c>
      <c r="Q11" s="14">
        <f>((((6*60)+49.32)*100)/((6*60)+47.48))-100</f>
        <v>0.45155590458426786</v>
      </c>
      <c r="R11" s="24">
        <v>255</v>
      </c>
    </row>
    <row r="12" spans="2:18" ht="15.75" thickBot="1" x14ac:dyDescent="0.3">
      <c r="B12" s="41" t="s">
        <v>4</v>
      </c>
      <c r="C12" s="35" t="s">
        <v>32</v>
      </c>
      <c r="D12" s="36"/>
      <c r="E12" s="36"/>
      <c r="F12" s="37"/>
      <c r="G12" s="35" t="s">
        <v>33</v>
      </c>
      <c r="H12" s="36"/>
      <c r="I12" s="36"/>
      <c r="J12" s="37"/>
      <c r="K12" s="35" t="s">
        <v>34</v>
      </c>
      <c r="L12" s="36"/>
      <c r="M12" s="36"/>
      <c r="N12" s="37"/>
      <c r="O12" s="35" t="s">
        <v>26</v>
      </c>
      <c r="P12" s="36"/>
      <c r="Q12" s="36"/>
      <c r="R12" s="37"/>
    </row>
    <row r="13" spans="2:18" ht="15.75" thickBot="1" x14ac:dyDescent="0.3">
      <c r="B13" s="42"/>
      <c r="C13" s="6" t="s">
        <v>157</v>
      </c>
      <c r="D13" s="7" t="s">
        <v>55</v>
      </c>
      <c r="E13" s="18">
        <f>((((3*60)+9.9)*100)/((3*60)+11.29))-100</f>
        <v>-0.72664540749646278</v>
      </c>
      <c r="F13" s="23">
        <v>249</v>
      </c>
      <c r="G13" s="6" t="s">
        <v>110</v>
      </c>
      <c r="H13" s="5" t="s">
        <v>56</v>
      </c>
      <c r="I13" s="14">
        <f>(((83.06*100)/(80.76))-100)</f>
        <v>2.8479445269935582</v>
      </c>
      <c r="J13" s="23">
        <v>284</v>
      </c>
      <c r="K13" s="6" t="s">
        <v>124</v>
      </c>
      <c r="L13" s="5" t="s">
        <v>57</v>
      </c>
      <c r="M13" s="17">
        <f>((36.95*100)/(37.97))-100</f>
        <v>-2.6863313141953995</v>
      </c>
      <c r="N13" s="23">
        <v>287</v>
      </c>
      <c r="O13" s="6" t="s">
        <v>77</v>
      </c>
      <c r="P13" s="5" t="s">
        <v>58</v>
      </c>
      <c r="Q13" s="17">
        <f>((37.6*100)/(40.14))-100</f>
        <v>-6.3278525161933317</v>
      </c>
      <c r="R13" s="23">
        <v>318</v>
      </c>
    </row>
    <row r="14" spans="2:18" ht="15.75" thickBot="1" x14ac:dyDescent="0.3">
      <c r="B14" s="43" t="s">
        <v>5</v>
      </c>
      <c r="C14" s="38" t="s">
        <v>28</v>
      </c>
      <c r="D14" s="39"/>
      <c r="E14" s="39"/>
      <c r="F14" s="40"/>
      <c r="G14" s="38" t="s">
        <v>29</v>
      </c>
      <c r="H14" s="39"/>
      <c r="I14" s="39"/>
      <c r="J14" s="40"/>
      <c r="K14" s="38" t="s">
        <v>30</v>
      </c>
      <c r="L14" s="39"/>
      <c r="M14" s="39"/>
      <c r="N14" s="40"/>
      <c r="O14" s="38" t="s">
        <v>35</v>
      </c>
      <c r="P14" s="39"/>
      <c r="Q14" s="39"/>
      <c r="R14" s="40"/>
    </row>
    <row r="15" spans="2:18" ht="15.75" thickBot="1" x14ac:dyDescent="0.3">
      <c r="B15" s="44"/>
      <c r="C15" s="8" t="s">
        <v>152</v>
      </c>
      <c r="D15" s="9" t="s">
        <v>62</v>
      </c>
      <c r="E15" s="14">
        <f>((((3*60)+38.74)*100)/((3*60)+35.14))-100</f>
        <v>1.6733289950729784</v>
      </c>
      <c r="F15" s="24">
        <v>232</v>
      </c>
      <c r="G15" s="8" t="s">
        <v>125</v>
      </c>
      <c r="H15" s="9" t="s">
        <v>61</v>
      </c>
      <c r="I15" s="17">
        <f>((97.95*100)/(100.27))-100</f>
        <v>-2.3137528672584011</v>
      </c>
      <c r="J15" s="24">
        <v>258</v>
      </c>
      <c r="K15" s="8" t="s">
        <v>113</v>
      </c>
      <c r="L15" s="9" t="s">
        <v>60</v>
      </c>
      <c r="M15" s="17">
        <f>((44.43*100)/(46.77))-100</f>
        <v>-5.0032071840923749</v>
      </c>
      <c r="N15" s="24">
        <v>272</v>
      </c>
      <c r="O15" s="8" t="s">
        <v>159</v>
      </c>
      <c r="P15" s="9" t="s">
        <v>59</v>
      </c>
      <c r="Q15" s="17">
        <f>((93.41*100)/(95.67))-100</f>
        <v>-2.3622870283265343</v>
      </c>
      <c r="R15" s="24">
        <v>223</v>
      </c>
    </row>
    <row r="16" spans="2:18" ht="15.75" thickBot="1" x14ac:dyDescent="0.3">
      <c r="B16" s="41" t="s">
        <v>6</v>
      </c>
      <c r="C16" s="35" t="s">
        <v>24</v>
      </c>
      <c r="D16" s="36"/>
      <c r="E16" s="36"/>
      <c r="F16" s="37"/>
      <c r="G16" s="35" t="s">
        <v>25</v>
      </c>
      <c r="H16" s="36"/>
      <c r="I16" s="36"/>
      <c r="J16" s="37"/>
      <c r="K16" s="35" t="s">
        <v>26</v>
      </c>
      <c r="L16" s="36"/>
      <c r="M16" s="36"/>
      <c r="N16" s="37"/>
      <c r="O16" s="35" t="s">
        <v>33</v>
      </c>
      <c r="P16" s="36"/>
      <c r="Q16" s="36"/>
      <c r="R16" s="37"/>
    </row>
    <row r="17" spans="2:18" ht="15.75" thickBot="1" x14ac:dyDescent="0.3">
      <c r="B17" s="42"/>
      <c r="C17" s="6" t="s">
        <v>118</v>
      </c>
      <c r="D17" s="5" t="s">
        <v>63</v>
      </c>
      <c r="E17" s="17">
        <f>(((180+28.04)*100)/(180+32.83))-100</f>
        <v>-2.2506225626086405</v>
      </c>
      <c r="F17" s="23">
        <v>188</v>
      </c>
      <c r="G17" s="6" t="s">
        <v>147</v>
      </c>
      <c r="H17" s="5" t="s">
        <v>64</v>
      </c>
      <c r="I17" s="17">
        <f>((96.58*100)/(97.33))-100</f>
        <v>-0.77057433473748915</v>
      </c>
      <c r="J17" s="23">
        <v>184</v>
      </c>
      <c r="K17" s="6" t="s">
        <v>168</v>
      </c>
      <c r="L17" s="5" t="s">
        <v>65</v>
      </c>
      <c r="M17" s="17">
        <f>((44.8*100)/46.63)-100</f>
        <v>-3.9245121166630952</v>
      </c>
      <c r="N17" s="23">
        <v>188</v>
      </c>
      <c r="O17" s="6" t="s">
        <v>108</v>
      </c>
      <c r="P17" s="5" t="s">
        <v>66</v>
      </c>
      <c r="Q17" s="17">
        <f>((104.33*100)/(109.96))-100</f>
        <v>-5.1200436522371717</v>
      </c>
      <c r="R17" s="23">
        <v>143</v>
      </c>
    </row>
    <row r="18" spans="2:18" ht="15.75" thickBot="1" x14ac:dyDescent="0.3">
      <c r="B18" s="43" t="s">
        <v>7</v>
      </c>
      <c r="C18" s="38" t="s">
        <v>21</v>
      </c>
      <c r="D18" s="39"/>
      <c r="E18" s="39"/>
      <c r="F18" s="40"/>
      <c r="G18" s="38" t="s">
        <v>36</v>
      </c>
      <c r="H18" s="39"/>
      <c r="I18" s="39"/>
      <c r="J18" s="40"/>
      <c r="K18" s="38" t="s">
        <v>33</v>
      </c>
      <c r="L18" s="39"/>
      <c r="M18" s="39"/>
      <c r="N18" s="40"/>
      <c r="O18" s="38" t="s">
        <v>35</v>
      </c>
      <c r="P18" s="39"/>
      <c r="Q18" s="39"/>
      <c r="R18" s="40"/>
    </row>
    <row r="19" spans="2:18" ht="15.75" thickBot="1" x14ac:dyDescent="0.3">
      <c r="B19" s="44"/>
      <c r="C19" s="8" t="s">
        <v>144</v>
      </c>
      <c r="D19" s="9" t="s">
        <v>70</v>
      </c>
      <c r="E19" s="17">
        <f>((63.71*100)/64.2)-100</f>
        <v>-0.76323987538941651</v>
      </c>
      <c r="F19" s="24">
        <v>513</v>
      </c>
      <c r="G19" s="8" t="s">
        <v>130</v>
      </c>
      <c r="H19" s="9" t="s">
        <v>69</v>
      </c>
      <c r="I19" s="17">
        <f>((29.36*100)/29.52)-100</f>
        <v>-0.5420054200541955</v>
      </c>
      <c r="J19" s="24">
        <v>495</v>
      </c>
      <c r="K19" s="8" t="s">
        <v>109</v>
      </c>
      <c r="L19" s="9" t="s">
        <v>68</v>
      </c>
      <c r="M19" s="17">
        <f>((73.64*100)/73.69)-100</f>
        <v>-6.7851811643365068E-2</v>
      </c>
      <c r="N19" s="24">
        <v>407</v>
      </c>
      <c r="O19" s="8" t="s">
        <v>101</v>
      </c>
      <c r="P19" s="9" t="s">
        <v>67</v>
      </c>
      <c r="Q19" s="17">
        <f>((77.18*100)/77.2)-100</f>
        <v>-2.5906735751291876E-2</v>
      </c>
      <c r="R19" s="24">
        <v>396</v>
      </c>
    </row>
    <row r="20" spans="2:18" ht="15.75" thickBot="1" x14ac:dyDescent="0.3">
      <c r="B20" s="41" t="s">
        <v>8</v>
      </c>
      <c r="C20" s="35" t="s">
        <v>21</v>
      </c>
      <c r="D20" s="36"/>
      <c r="E20" s="36"/>
      <c r="F20" s="37"/>
      <c r="G20" s="35" t="s">
        <v>36</v>
      </c>
      <c r="H20" s="36"/>
      <c r="I20" s="36"/>
      <c r="J20" s="37"/>
      <c r="K20" s="35" t="s">
        <v>34</v>
      </c>
      <c r="L20" s="36"/>
      <c r="M20" s="36"/>
      <c r="N20" s="37"/>
      <c r="O20" s="35" t="s">
        <v>35</v>
      </c>
      <c r="P20" s="36"/>
      <c r="Q20" s="36"/>
      <c r="R20" s="37"/>
    </row>
    <row r="21" spans="2:18" ht="15.75" thickBot="1" x14ac:dyDescent="0.3">
      <c r="B21" s="42"/>
      <c r="C21" s="6" t="s">
        <v>145</v>
      </c>
      <c r="D21" s="5" t="s">
        <v>71</v>
      </c>
      <c r="E21" s="17">
        <f>((66.72*100)/67.61)-100</f>
        <v>-1.3163733175565682</v>
      </c>
      <c r="F21" s="23">
        <v>446</v>
      </c>
      <c r="G21" s="6" t="s">
        <v>131</v>
      </c>
      <c r="H21" s="5" t="s">
        <v>72</v>
      </c>
      <c r="I21" s="17">
        <f>((30.22*100)/(31.81))-100</f>
        <v>-4.9984281672430058</v>
      </c>
      <c r="J21" s="23">
        <v>454</v>
      </c>
      <c r="K21" s="6" t="s">
        <v>123</v>
      </c>
      <c r="L21" s="5" t="s">
        <v>73</v>
      </c>
      <c r="M21" s="17">
        <f>((38.23*100)/41.47)-100</f>
        <v>-7.8128767783940276</v>
      </c>
      <c r="N21" s="23">
        <v>259</v>
      </c>
      <c r="O21" s="6" t="s">
        <v>161</v>
      </c>
      <c r="P21" s="5" t="s">
        <v>74</v>
      </c>
      <c r="Q21" s="14">
        <f>((81.74*100)/(81.49))-100</f>
        <v>0.30678610872499235</v>
      </c>
      <c r="R21" s="23">
        <v>333</v>
      </c>
    </row>
    <row r="22" spans="2:18" ht="15.75" thickBot="1" x14ac:dyDescent="0.3">
      <c r="B22" s="43" t="s">
        <v>9</v>
      </c>
      <c r="C22" s="38" t="s">
        <v>28</v>
      </c>
      <c r="D22" s="39"/>
      <c r="E22" s="39"/>
      <c r="F22" s="40"/>
      <c r="G22" s="38" t="s">
        <v>30</v>
      </c>
      <c r="H22" s="39"/>
      <c r="I22" s="39"/>
      <c r="J22" s="40"/>
      <c r="K22" s="38" t="s">
        <v>36</v>
      </c>
      <c r="L22" s="39"/>
      <c r="M22" s="39"/>
      <c r="N22" s="40"/>
      <c r="O22" s="38" t="s">
        <v>35</v>
      </c>
      <c r="P22" s="39"/>
      <c r="Q22" s="39"/>
      <c r="R22" s="40"/>
    </row>
    <row r="23" spans="2:18" ht="15.75" thickBot="1" x14ac:dyDescent="0.3">
      <c r="B23" s="44"/>
      <c r="C23" s="8" t="s">
        <v>155</v>
      </c>
      <c r="D23" s="9" t="s">
        <v>78</v>
      </c>
      <c r="E23" s="17">
        <f>(((180+12.46)*100)/(180+18.8))-100</f>
        <v>-3.1891348088531259</v>
      </c>
      <c r="F23" s="24">
        <v>369</v>
      </c>
      <c r="G23" s="8" t="s">
        <v>114</v>
      </c>
      <c r="H23" s="9" t="s">
        <v>77</v>
      </c>
      <c r="I23" s="17">
        <f>((40.14*100)/42.62)-100</f>
        <v>-5.818864382918818</v>
      </c>
      <c r="J23" s="24">
        <v>339</v>
      </c>
      <c r="K23" s="8" t="s">
        <v>129</v>
      </c>
      <c r="L23" s="9" t="s">
        <v>76</v>
      </c>
      <c r="M23" s="17">
        <f>((33.29*100)/(35.13))-100</f>
        <v>-5.237688585254773</v>
      </c>
      <c r="N23" s="24">
        <v>284</v>
      </c>
      <c r="O23" s="8" t="s">
        <v>160</v>
      </c>
      <c r="P23" s="9" t="s">
        <v>75</v>
      </c>
      <c r="Q23" s="17">
        <f>((86.23*100)/(89.73))-100</f>
        <v>-3.9005906608715009</v>
      </c>
      <c r="R23" s="24">
        <v>340</v>
      </c>
    </row>
    <row r="24" spans="2:18" ht="15.75" thickBot="1" x14ac:dyDescent="0.3">
      <c r="B24" s="41" t="s">
        <v>10</v>
      </c>
      <c r="C24" s="35" t="s">
        <v>28</v>
      </c>
      <c r="D24" s="36"/>
      <c r="E24" s="36"/>
      <c r="F24" s="37"/>
      <c r="G24" s="35" t="s">
        <v>29</v>
      </c>
      <c r="H24" s="36"/>
      <c r="I24" s="36"/>
      <c r="J24" s="37"/>
      <c r="K24" s="35" t="s">
        <v>30</v>
      </c>
      <c r="L24" s="36"/>
      <c r="M24" s="36"/>
      <c r="N24" s="37"/>
      <c r="O24" s="35" t="s">
        <v>35</v>
      </c>
      <c r="P24" s="36"/>
      <c r="Q24" s="36"/>
      <c r="R24" s="37"/>
    </row>
    <row r="25" spans="2:18" ht="15.75" thickBot="1" x14ac:dyDescent="0.3">
      <c r="B25" s="42"/>
      <c r="C25" s="6" t="s">
        <v>156</v>
      </c>
      <c r="D25" s="5" t="s">
        <v>79</v>
      </c>
      <c r="E25" s="14">
        <f>(((120+54.29)*100)/(120+50.4))-100</f>
        <v>2.2828638497652491</v>
      </c>
      <c r="F25" s="23">
        <v>460</v>
      </c>
      <c r="G25" s="6" t="s">
        <v>126</v>
      </c>
      <c r="H25" s="5" t="s">
        <v>80</v>
      </c>
      <c r="I25" s="14">
        <f>(((80.72*100)/(80.04))-100)</f>
        <v>0.84957521239380185</v>
      </c>
      <c r="J25" s="23">
        <v>461</v>
      </c>
      <c r="K25" s="6" t="s">
        <v>115</v>
      </c>
      <c r="L25" s="5" t="s">
        <v>81</v>
      </c>
      <c r="M25" s="17">
        <f>((36.77*100)/37.34)-100</f>
        <v>-1.5265131226566666</v>
      </c>
      <c r="N25" s="23">
        <v>480</v>
      </c>
      <c r="O25" s="6" t="s">
        <v>162</v>
      </c>
      <c r="P25" s="5" t="s">
        <v>82</v>
      </c>
      <c r="Q25" s="14">
        <f>((81.27*100)/(80.92))-100</f>
        <v>0.43252595155709628</v>
      </c>
      <c r="R25" s="23">
        <v>339</v>
      </c>
    </row>
    <row r="26" spans="2:18" ht="15.75" thickBot="1" x14ac:dyDescent="0.3">
      <c r="B26" s="43" t="s">
        <v>11</v>
      </c>
      <c r="C26" s="38" t="s">
        <v>19</v>
      </c>
      <c r="D26" s="39"/>
      <c r="E26" s="39"/>
      <c r="F26" s="40"/>
      <c r="G26" s="38" t="s">
        <v>20</v>
      </c>
      <c r="H26" s="39"/>
      <c r="I26" s="39"/>
      <c r="J26" s="40"/>
      <c r="K26" s="38" t="s">
        <v>37</v>
      </c>
      <c r="L26" s="39"/>
      <c r="M26" s="39"/>
      <c r="N26" s="40"/>
      <c r="O26" s="38" t="s">
        <v>36</v>
      </c>
      <c r="P26" s="39"/>
      <c r="Q26" s="39"/>
      <c r="R26" s="40"/>
    </row>
    <row r="27" spans="2:18" ht="15.75" thickBot="1" x14ac:dyDescent="0.3">
      <c r="B27" s="44"/>
      <c r="C27" s="8" t="s">
        <v>165</v>
      </c>
      <c r="D27" s="9" t="s">
        <v>83</v>
      </c>
      <c r="E27" s="17">
        <f>(((300+20.82)*100)/(300+37.87))-100</f>
        <v>-5.046319590374992</v>
      </c>
      <c r="F27" s="24">
        <v>390</v>
      </c>
      <c r="G27" s="8" t="s">
        <v>134</v>
      </c>
      <c r="H27" s="9" t="s">
        <v>84</v>
      </c>
      <c r="I27" s="17">
        <f>(((120+32.42)*100)/(120+37.13))-100</f>
        <v>-2.9975179787437014</v>
      </c>
      <c r="J27" s="24">
        <v>383</v>
      </c>
      <c r="K27" s="8" t="s">
        <v>146</v>
      </c>
      <c r="L27" s="9" t="s">
        <v>85</v>
      </c>
      <c r="M27" s="17">
        <f>((70.6*100)/(72.04))-100</f>
        <v>-1.998889505830121</v>
      </c>
      <c r="N27" s="24">
        <v>377</v>
      </c>
      <c r="O27" s="8" t="s">
        <v>132</v>
      </c>
      <c r="P27" s="9" t="s">
        <v>86</v>
      </c>
      <c r="Q27" s="17">
        <f>((32.24*100)/(32.57))-100</f>
        <v>-1.0132023334356717</v>
      </c>
      <c r="R27" s="24">
        <v>381</v>
      </c>
    </row>
    <row r="28" spans="2:18" ht="15.75" thickBot="1" x14ac:dyDescent="0.3">
      <c r="B28" s="41" t="s">
        <v>12</v>
      </c>
      <c r="C28" s="35" t="s">
        <v>31</v>
      </c>
      <c r="D28" s="36"/>
      <c r="E28" s="36"/>
      <c r="F28" s="37"/>
      <c r="G28" s="35" t="s">
        <v>27</v>
      </c>
      <c r="H28" s="36"/>
      <c r="I28" s="36"/>
      <c r="J28" s="37"/>
      <c r="K28" s="36" t="s">
        <v>24</v>
      </c>
      <c r="L28" s="36"/>
      <c r="M28" s="36"/>
      <c r="N28" s="37"/>
      <c r="O28" s="35" t="s">
        <v>38</v>
      </c>
      <c r="P28" s="36"/>
      <c r="Q28" s="36"/>
      <c r="R28" s="37"/>
    </row>
    <row r="29" spans="2:18" ht="15.75" thickBot="1" x14ac:dyDescent="0.3">
      <c r="B29" s="42"/>
      <c r="C29" s="6" t="s">
        <v>140</v>
      </c>
      <c r="D29" s="5" t="s">
        <v>87</v>
      </c>
      <c r="E29" s="17">
        <f>((((5*60)+54.92)*100)/((5*60)+58.8))-100</f>
        <v>-1.0813823857302083</v>
      </c>
      <c r="F29" s="23">
        <v>392</v>
      </c>
      <c r="G29" s="6" t="s">
        <v>138</v>
      </c>
      <c r="H29" s="5" t="s">
        <v>88</v>
      </c>
      <c r="I29" s="14">
        <f>(((120+51.49)*100)/(120+46.98))-100</f>
        <v>2.7009222661396706</v>
      </c>
      <c r="J29" s="23">
        <v>387</v>
      </c>
      <c r="K29" s="6" t="s">
        <v>119</v>
      </c>
      <c r="L29" s="5" t="s">
        <v>89</v>
      </c>
      <c r="M29" s="14">
        <f>(((120+47.17)*100)/(120+41.06))-100</f>
        <v>3.7936172854836627</v>
      </c>
      <c r="N29" s="23">
        <v>362</v>
      </c>
      <c r="O29" s="6" t="s">
        <v>150</v>
      </c>
      <c r="P29" s="5" t="s">
        <v>90</v>
      </c>
      <c r="Q29" s="14">
        <f>((77.37*100)/(75.36))-100</f>
        <v>2.6671974522293027</v>
      </c>
      <c r="R29" s="23">
        <v>354</v>
      </c>
    </row>
    <row r="30" spans="2:18" ht="15.75" thickBot="1" x14ac:dyDescent="0.3">
      <c r="B30" s="43" t="s">
        <v>13</v>
      </c>
      <c r="C30" s="38" t="s">
        <v>28</v>
      </c>
      <c r="D30" s="39"/>
      <c r="E30" s="39"/>
      <c r="F30" s="40"/>
      <c r="G30" s="38" t="s">
        <v>29</v>
      </c>
      <c r="H30" s="39"/>
      <c r="I30" s="39"/>
      <c r="J30" s="40"/>
      <c r="K30" s="38" t="s">
        <v>30</v>
      </c>
      <c r="L30" s="39"/>
      <c r="M30" s="39"/>
      <c r="N30" s="40"/>
      <c r="O30" s="38" t="s">
        <v>35</v>
      </c>
      <c r="P30" s="39"/>
      <c r="Q30" s="39"/>
      <c r="R30" s="40"/>
    </row>
    <row r="31" spans="2:18" ht="15.75" thickBot="1" x14ac:dyDescent="0.3">
      <c r="B31" s="44"/>
      <c r="C31" s="8" t="s">
        <v>154</v>
      </c>
      <c r="D31" s="9" t="s">
        <v>91</v>
      </c>
      <c r="E31" s="14">
        <f>(((180+13.38)*100)/(180+8.75))-100</f>
        <v>2.4529801324503353</v>
      </c>
      <c r="F31" s="24">
        <v>336</v>
      </c>
      <c r="G31" s="8" t="s">
        <v>127</v>
      </c>
      <c r="H31" s="9" t="s">
        <v>92</v>
      </c>
      <c r="I31" s="14">
        <f>(((60+29.14)*100)/(60+28.4))-100</f>
        <v>0.83710407239819062</v>
      </c>
      <c r="J31" s="24">
        <v>342</v>
      </c>
      <c r="K31" s="8" t="s">
        <v>116</v>
      </c>
      <c r="L31" s="9" t="s">
        <v>93</v>
      </c>
      <c r="M31" s="17">
        <f>((41.17*100)/(41.41))-100</f>
        <v>-0.57957015213715124</v>
      </c>
      <c r="N31" s="24">
        <v>342</v>
      </c>
      <c r="O31" s="8" t="s">
        <v>163</v>
      </c>
      <c r="P31" s="9" t="s">
        <v>94</v>
      </c>
      <c r="Q31" s="14">
        <f>(((60+23.55)*100)/(60+22.05))-100</f>
        <v>1.828153564899452</v>
      </c>
      <c r="R31" s="24">
        <v>312</v>
      </c>
    </row>
    <row r="32" spans="2:18" ht="15.75" thickBot="1" x14ac:dyDescent="0.3">
      <c r="B32" s="41" t="s">
        <v>14</v>
      </c>
      <c r="C32" s="35" t="s">
        <v>24</v>
      </c>
      <c r="D32" s="36"/>
      <c r="E32" s="36"/>
      <c r="F32" s="37"/>
      <c r="G32" s="35" t="s">
        <v>25</v>
      </c>
      <c r="H32" s="36"/>
      <c r="I32" s="36"/>
      <c r="J32" s="37"/>
      <c r="K32" s="35" t="s">
        <v>26</v>
      </c>
      <c r="L32" s="36"/>
      <c r="M32" s="36"/>
      <c r="N32" s="37"/>
      <c r="O32" s="35" t="s">
        <v>27</v>
      </c>
      <c r="P32" s="36"/>
      <c r="Q32" s="36"/>
      <c r="R32" s="37"/>
    </row>
    <row r="33" spans="2:18" ht="15.75" thickBot="1" x14ac:dyDescent="0.3">
      <c r="B33" s="42"/>
      <c r="C33" s="6" t="s">
        <v>117</v>
      </c>
      <c r="D33" s="5" t="s">
        <v>95</v>
      </c>
      <c r="E33" s="13"/>
      <c r="F33" s="23">
        <v>318</v>
      </c>
      <c r="G33" s="6" t="s">
        <v>149</v>
      </c>
      <c r="H33" s="5" t="s">
        <v>96</v>
      </c>
      <c r="I33" s="14">
        <f>((81.81*100)/(78.97))-100</f>
        <v>3.5963023933139198</v>
      </c>
      <c r="J33" s="23">
        <v>304</v>
      </c>
      <c r="K33" s="6" t="s">
        <v>170</v>
      </c>
      <c r="L33" s="5" t="s">
        <v>97</v>
      </c>
      <c r="M33" s="14">
        <f>((37.79*100)/(36.63))-100</f>
        <v>3.1668031668031631</v>
      </c>
      <c r="N33" s="23">
        <v>313</v>
      </c>
      <c r="O33" s="6" t="s">
        <v>139</v>
      </c>
      <c r="P33" s="5" t="s">
        <v>98</v>
      </c>
      <c r="Q33" s="17">
        <f>(((120+57.02)*100)/(180+0.88))-100</f>
        <v>-2.1340114993365802</v>
      </c>
      <c r="R33" s="23">
        <v>326</v>
      </c>
    </row>
    <row r="34" spans="2:18" ht="15.75" thickBot="1" x14ac:dyDescent="0.3">
      <c r="B34" s="43" t="s">
        <v>15</v>
      </c>
      <c r="C34" s="38" t="s">
        <v>39</v>
      </c>
      <c r="D34" s="39"/>
      <c r="E34" s="39"/>
      <c r="F34" s="40"/>
      <c r="G34" s="38" t="s">
        <v>33</v>
      </c>
      <c r="H34" s="39"/>
      <c r="I34" s="39"/>
      <c r="J34" s="40"/>
      <c r="K34" s="38" t="s">
        <v>34</v>
      </c>
      <c r="L34" s="39"/>
      <c r="M34" s="39"/>
      <c r="N34" s="40"/>
      <c r="O34" s="38" t="s">
        <v>38</v>
      </c>
      <c r="P34" s="39"/>
      <c r="Q34" s="39"/>
      <c r="R34" s="40"/>
    </row>
    <row r="35" spans="2:18" ht="15.75" thickBot="1" x14ac:dyDescent="0.3">
      <c r="B35" s="44"/>
      <c r="C35" s="8" t="s">
        <v>158</v>
      </c>
      <c r="D35" s="9" t="s">
        <v>102</v>
      </c>
      <c r="E35" s="17">
        <f>(((120+49.65)*100)/(120+51.18))-100</f>
        <v>-0.89379600420610927</v>
      </c>
      <c r="F35" s="24">
        <v>350</v>
      </c>
      <c r="G35" s="8" t="s">
        <v>111</v>
      </c>
      <c r="H35" s="9" t="s">
        <v>101</v>
      </c>
      <c r="I35" s="14">
        <f>((77.2*100)/(75.38))-100</f>
        <v>2.4144335367471541</v>
      </c>
      <c r="J35" s="24">
        <v>353</v>
      </c>
      <c r="K35" s="8" t="s">
        <v>122</v>
      </c>
      <c r="L35" s="9" t="s">
        <v>100</v>
      </c>
      <c r="M35" s="17">
        <f>((33.21*100)/(34.14))-100</f>
        <v>-2.7240773286467572</v>
      </c>
      <c r="N35" s="24">
        <v>433</v>
      </c>
      <c r="O35" s="8" t="s">
        <v>148</v>
      </c>
      <c r="P35" s="9" t="s">
        <v>99</v>
      </c>
      <c r="Q35" s="17">
        <f>((80.17*100)/(84.02))-100</f>
        <v>-4.5822423232563665</v>
      </c>
      <c r="R35" s="24">
        <v>353</v>
      </c>
    </row>
    <row r="36" spans="2:18" ht="15.75" thickBot="1" x14ac:dyDescent="0.3">
      <c r="B36" s="41" t="s">
        <v>16</v>
      </c>
      <c r="C36" s="35" t="s">
        <v>19</v>
      </c>
      <c r="D36" s="36"/>
      <c r="E36" s="36"/>
      <c r="F36" s="37"/>
      <c r="G36" s="35" t="s">
        <v>23</v>
      </c>
      <c r="H36" s="36"/>
      <c r="I36" s="36"/>
      <c r="J36" s="37"/>
      <c r="K36" s="35" t="s">
        <v>34</v>
      </c>
      <c r="L36" s="36"/>
      <c r="M36" s="36"/>
      <c r="N36" s="37"/>
      <c r="O36" s="35"/>
      <c r="P36" s="36"/>
      <c r="Q36" s="36"/>
      <c r="R36" s="37"/>
    </row>
    <row r="37" spans="2:18" ht="15.75" thickBot="1" x14ac:dyDescent="0.3">
      <c r="B37" s="42"/>
      <c r="C37" s="6" t="s">
        <v>164</v>
      </c>
      <c r="D37" s="5" t="s">
        <v>103</v>
      </c>
      <c r="E37" s="14">
        <f>((((6*60)+22.5)*100)/((6*60)+9.1))-100</f>
        <v>3.6304524519100454</v>
      </c>
      <c r="F37" s="21">
        <v>230</v>
      </c>
      <c r="G37" s="6" t="s">
        <v>133</v>
      </c>
      <c r="H37" s="5" t="s">
        <v>104</v>
      </c>
      <c r="I37" s="14">
        <f>(((120+51.11)*100)/(120+46.07))-100</f>
        <v>3.0348648160414342</v>
      </c>
      <c r="J37" s="21">
        <v>271</v>
      </c>
      <c r="K37" s="6" t="s">
        <v>121</v>
      </c>
      <c r="L37" s="5" t="s">
        <v>105</v>
      </c>
      <c r="M37" s="14">
        <f>((47.74*100)/(46.64))-100</f>
        <v>2.3584905660377302</v>
      </c>
      <c r="N37" s="21">
        <v>133</v>
      </c>
      <c r="O37" s="1"/>
      <c r="P37" s="2"/>
      <c r="Q37" s="2"/>
      <c r="R37" s="3"/>
    </row>
  </sheetData>
  <mergeCells count="101">
    <mergeCell ref="B26:B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8:B29"/>
    <mergeCell ref="B30:B31"/>
    <mergeCell ref="B32:B33"/>
    <mergeCell ref="B34:B35"/>
    <mergeCell ref="B36:B37"/>
    <mergeCell ref="C36:F36"/>
    <mergeCell ref="C32:F32"/>
    <mergeCell ref="C34:F34"/>
    <mergeCell ref="C30:F30"/>
    <mergeCell ref="C28:F28"/>
    <mergeCell ref="G4:J4"/>
    <mergeCell ref="K4:N4"/>
    <mergeCell ref="O4:R4"/>
    <mergeCell ref="G6:J6"/>
    <mergeCell ref="K6:N6"/>
    <mergeCell ref="O6:R6"/>
    <mergeCell ref="C4:F4"/>
    <mergeCell ref="C26:F26"/>
    <mergeCell ref="C24:F24"/>
    <mergeCell ref="C22:F22"/>
    <mergeCell ref="C18:F18"/>
    <mergeCell ref="C20:F20"/>
    <mergeCell ref="C16:F16"/>
    <mergeCell ref="C14:F14"/>
    <mergeCell ref="C10:F10"/>
    <mergeCell ref="C12:F12"/>
    <mergeCell ref="C8:F8"/>
    <mergeCell ref="C6:F6"/>
    <mergeCell ref="G12:J12"/>
    <mergeCell ref="K12:N12"/>
    <mergeCell ref="O12:R12"/>
    <mergeCell ref="G14:J14"/>
    <mergeCell ref="K14:N14"/>
    <mergeCell ref="O14:R14"/>
    <mergeCell ref="G8:J8"/>
    <mergeCell ref="K8:N8"/>
    <mergeCell ref="O8:R8"/>
    <mergeCell ref="G10:J10"/>
    <mergeCell ref="K10:N10"/>
    <mergeCell ref="O10:R10"/>
    <mergeCell ref="G20:J20"/>
    <mergeCell ref="K20:N20"/>
    <mergeCell ref="O20:R20"/>
    <mergeCell ref="G22:J22"/>
    <mergeCell ref="K22:N22"/>
    <mergeCell ref="O22:R22"/>
    <mergeCell ref="G16:J16"/>
    <mergeCell ref="K16:N16"/>
    <mergeCell ref="O16:R16"/>
    <mergeCell ref="G18:J18"/>
    <mergeCell ref="K18:N18"/>
    <mergeCell ref="O18:R18"/>
    <mergeCell ref="G28:J28"/>
    <mergeCell ref="K28:N28"/>
    <mergeCell ref="O28:R28"/>
    <mergeCell ref="G30:J30"/>
    <mergeCell ref="K30:N30"/>
    <mergeCell ref="O30:R30"/>
    <mergeCell ref="G24:J24"/>
    <mergeCell ref="K24:N24"/>
    <mergeCell ref="O24:R24"/>
    <mergeCell ref="G26:J26"/>
    <mergeCell ref="K26:N26"/>
    <mergeCell ref="O26:R26"/>
    <mergeCell ref="G36:J36"/>
    <mergeCell ref="K36:N36"/>
    <mergeCell ref="O36:R36"/>
    <mergeCell ref="G32:J32"/>
    <mergeCell ref="K32:N32"/>
    <mergeCell ref="O32:R32"/>
    <mergeCell ref="G34:J34"/>
    <mergeCell ref="K34:N34"/>
    <mergeCell ref="O34:R34"/>
    <mergeCell ref="R2:R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7"/>
  <sheetViews>
    <sheetView tabSelected="1" zoomScale="90" zoomScaleNormal="90" zoomScalePageLayoutView="70" workbookViewId="0">
      <selection activeCell="F5" sqref="F5"/>
    </sheetView>
  </sheetViews>
  <sheetFormatPr baseColWidth="10" defaultColWidth="9.140625" defaultRowHeight="15" x14ac:dyDescent="0.25"/>
  <cols>
    <col min="1" max="1" width="6.85546875" customWidth="1"/>
    <col min="3" max="4" width="10.28515625" customWidth="1"/>
    <col min="5" max="5" width="10.42578125" customWidth="1"/>
    <col min="6" max="6" width="10" customWidth="1"/>
    <col min="7" max="7" width="10.42578125" customWidth="1"/>
    <col min="8" max="8" width="10.28515625" customWidth="1"/>
    <col min="9" max="9" width="10.5703125" customWidth="1"/>
    <col min="11" max="11" width="10.85546875" customWidth="1"/>
    <col min="12" max="12" width="10.28515625" customWidth="1"/>
    <col min="13" max="16" width="10.5703125" customWidth="1"/>
    <col min="17" max="17" width="10.7109375" customWidth="1"/>
    <col min="18" max="18" width="10.42578125" customWidth="1"/>
  </cols>
  <sheetData>
    <row r="1" spans="2:18" ht="12" customHeight="1" thickBot="1" x14ac:dyDescent="0.3"/>
    <row r="2" spans="2:18" x14ac:dyDescent="0.25">
      <c r="C2" s="27" t="s">
        <v>231</v>
      </c>
      <c r="D2" s="29" t="s">
        <v>232</v>
      </c>
      <c r="E2" s="29" t="s">
        <v>233</v>
      </c>
      <c r="F2" s="25" t="s">
        <v>234</v>
      </c>
      <c r="G2" s="27" t="s">
        <v>231</v>
      </c>
      <c r="H2" s="31" t="s">
        <v>232</v>
      </c>
      <c r="I2" s="29" t="s">
        <v>233</v>
      </c>
      <c r="J2" s="33" t="s">
        <v>234</v>
      </c>
      <c r="K2" s="27" t="s">
        <v>231</v>
      </c>
      <c r="L2" s="29" t="s">
        <v>232</v>
      </c>
      <c r="M2" s="29" t="s">
        <v>233</v>
      </c>
      <c r="N2" s="25" t="s">
        <v>234</v>
      </c>
      <c r="O2" s="27" t="s">
        <v>231</v>
      </c>
      <c r="P2" s="29" t="s">
        <v>232</v>
      </c>
      <c r="Q2" s="29" t="s">
        <v>233</v>
      </c>
      <c r="R2" s="25" t="s">
        <v>234</v>
      </c>
    </row>
    <row r="3" spans="2:18" ht="54" customHeight="1" thickBot="1" x14ac:dyDescent="0.3">
      <c r="C3" s="28"/>
      <c r="D3" s="30"/>
      <c r="E3" s="30"/>
      <c r="F3" s="26"/>
      <c r="G3" s="28"/>
      <c r="H3" s="32"/>
      <c r="I3" s="30"/>
      <c r="J3" s="34"/>
      <c r="K3" s="28"/>
      <c r="L3" s="30"/>
      <c r="M3" s="30"/>
      <c r="N3" s="26"/>
      <c r="O3" s="28"/>
      <c r="P3" s="30"/>
      <c r="Q3" s="30"/>
      <c r="R3" s="26"/>
    </row>
    <row r="4" spans="2:18" ht="15.75" thickBot="1" x14ac:dyDescent="0.3">
      <c r="B4" s="41" t="s">
        <v>171</v>
      </c>
      <c r="C4" s="35" t="s">
        <v>24</v>
      </c>
      <c r="D4" s="36"/>
      <c r="E4" s="36"/>
      <c r="F4" s="37"/>
      <c r="G4" s="35" t="s">
        <v>25</v>
      </c>
      <c r="H4" s="36"/>
      <c r="I4" s="36"/>
      <c r="J4" s="37"/>
      <c r="K4" s="35" t="s">
        <v>26</v>
      </c>
      <c r="L4" s="36"/>
      <c r="M4" s="36"/>
      <c r="N4" s="37"/>
      <c r="O4" s="35" t="s">
        <v>31</v>
      </c>
      <c r="P4" s="36"/>
      <c r="Q4" s="36"/>
      <c r="R4" s="37"/>
    </row>
    <row r="5" spans="2:18" ht="17.25" customHeight="1" thickBot="1" x14ac:dyDescent="0.3">
      <c r="B5" s="42"/>
      <c r="C5" s="4" t="s">
        <v>217</v>
      </c>
      <c r="D5" s="7" t="s">
        <v>178</v>
      </c>
      <c r="E5" s="11">
        <f>((160.18*100)/(160.07))-100</f>
        <v>6.8719935028425994E-2</v>
      </c>
      <c r="F5" s="23">
        <v>290</v>
      </c>
      <c r="G5" s="6" t="s">
        <v>208</v>
      </c>
      <c r="H5" s="7" t="s">
        <v>179</v>
      </c>
      <c r="I5" s="14">
        <f>((((1*60)+17.19)*100)/((1*60)+14.67))-100</f>
        <v>3.3748493370831625</v>
      </c>
      <c r="J5" s="23">
        <v>254</v>
      </c>
      <c r="K5" s="6" t="s">
        <v>202</v>
      </c>
      <c r="L5" s="7" t="s">
        <v>180</v>
      </c>
      <c r="M5" s="18">
        <f>((35.57*100)/(36.43))-100</f>
        <v>-2.360691737578918</v>
      </c>
      <c r="N5" s="23">
        <v>243</v>
      </c>
      <c r="O5" s="6" t="s">
        <v>117</v>
      </c>
      <c r="P5" s="19" t="s">
        <v>181</v>
      </c>
      <c r="Q5" s="16"/>
      <c r="R5" s="23">
        <v>312</v>
      </c>
    </row>
    <row r="6" spans="2:18" ht="15.75" thickBot="1" x14ac:dyDescent="0.3">
      <c r="B6" s="43" t="s">
        <v>172</v>
      </c>
      <c r="C6" s="38" t="s">
        <v>31</v>
      </c>
      <c r="D6" s="39"/>
      <c r="E6" s="39"/>
      <c r="F6" s="40"/>
      <c r="G6" s="38" t="s">
        <v>27</v>
      </c>
      <c r="H6" s="39"/>
      <c r="I6" s="39"/>
      <c r="J6" s="40"/>
      <c r="K6" s="38" t="s">
        <v>35</v>
      </c>
      <c r="L6" s="39"/>
      <c r="M6" s="39"/>
      <c r="N6" s="40"/>
      <c r="O6" s="38" t="s">
        <v>21</v>
      </c>
      <c r="P6" s="39"/>
      <c r="Q6" s="39"/>
      <c r="R6" s="40"/>
    </row>
    <row r="7" spans="2:18" ht="15.75" thickBot="1" x14ac:dyDescent="0.3">
      <c r="B7" s="44"/>
      <c r="C7" s="8" t="s">
        <v>220</v>
      </c>
      <c r="D7" s="10" t="s">
        <v>185</v>
      </c>
      <c r="E7" s="14">
        <f>((((6*60)+33.63)*100)/((6*60)+29.8))-100</f>
        <v>0.98255515649050551</v>
      </c>
      <c r="F7" s="24">
        <v>214</v>
      </c>
      <c r="G7" s="8" t="s">
        <v>212</v>
      </c>
      <c r="H7" s="10" t="s">
        <v>184</v>
      </c>
      <c r="I7" s="15">
        <f>((((3*60)+10.29)*100)/((3*60)+1.88))-100</f>
        <v>4.6239278645260669</v>
      </c>
      <c r="J7" s="24">
        <v>191</v>
      </c>
      <c r="K7" s="8" t="s">
        <v>205</v>
      </c>
      <c r="L7" s="10" t="s">
        <v>183</v>
      </c>
      <c r="M7" s="18">
        <f>((86.04*100)/(89.2))-100</f>
        <v>-3.5426008968609892</v>
      </c>
      <c r="N7" s="24">
        <v>204</v>
      </c>
      <c r="O7" s="8" t="s">
        <v>210</v>
      </c>
      <c r="P7" s="10" t="s">
        <v>182</v>
      </c>
      <c r="Q7" s="18">
        <f>((73.32*100)/(78.58))-100</f>
        <v>-6.6938152201578163</v>
      </c>
      <c r="R7" s="24">
        <v>230</v>
      </c>
    </row>
    <row r="8" spans="2:18" ht="15.75" thickBot="1" x14ac:dyDescent="0.3">
      <c r="B8" s="41" t="s">
        <v>173</v>
      </c>
      <c r="C8" s="35" t="s">
        <v>177</v>
      </c>
      <c r="D8" s="36"/>
      <c r="E8" s="36"/>
      <c r="F8" s="37"/>
      <c r="G8" s="35" t="s">
        <v>27</v>
      </c>
      <c r="H8" s="36"/>
      <c r="I8" s="36"/>
      <c r="J8" s="37"/>
      <c r="K8" s="35" t="s">
        <v>38</v>
      </c>
      <c r="L8" s="36"/>
      <c r="M8" s="36"/>
      <c r="N8" s="37"/>
      <c r="O8" s="35" t="s">
        <v>34</v>
      </c>
      <c r="P8" s="36"/>
      <c r="Q8" s="36"/>
      <c r="R8" s="37"/>
    </row>
    <row r="9" spans="2:18" ht="15.75" thickBot="1" x14ac:dyDescent="0.3">
      <c r="B9" s="42"/>
      <c r="C9" s="6" t="s">
        <v>117</v>
      </c>
      <c r="D9" s="7" t="s">
        <v>186</v>
      </c>
      <c r="E9" s="18"/>
      <c r="F9" s="23">
        <v>185</v>
      </c>
      <c r="G9" s="6" t="s">
        <v>117</v>
      </c>
      <c r="H9" s="7" t="s">
        <v>187</v>
      </c>
      <c r="I9" s="18"/>
      <c r="J9" s="23">
        <v>126</v>
      </c>
      <c r="K9" s="6" t="s">
        <v>207</v>
      </c>
      <c r="L9" s="7" t="s">
        <v>188</v>
      </c>
      <c r="M9" s="15">
        <f>(((105.1*100)/(101.56))-100)</f>
        <v>3.4856242615202859</v>
      </c>
      <c r="N9" s="23">
        <v>100</v>
      </c>
      <c r="O9" s="6" t="s">
        <v>215</v>
      </c>
      <c r="P9" s="7" t="s">
        <v>189</v>
      </c>
      <c r="Q9" s="18">
        <f>((45.93*100)/(49.43)-100)</f>
        <v>-7.0807202103985389</v>
      </c>
      <c r="R9" s="23">
        <v>106</v>
      </c>
    </row>
    <row r="10" spans="2:18" ht="15.75" thickBot="1" x14ac:dyDescent="0.3">
      <c r="B10" s="43" t="s">
        <v>174</v>
      </c>
      <c r="C10" s="38" t="s">
        <v>28</v>
      </c>
      <c r="D10" s="39"/>
      <c r="E10" s="39"/>
      <c r="F10" s="40"/>
      <c r="G10" s="38" t="s">
        <v>29</v>
      </c>
      <c r="H10" s="39"/>
      <c r="I10" s="39"/>
      <c r="J10" s="40"/>
      <c r="K10" s="38" t="s">
        <v>30</v>
      </c>
      <c r="L10" s="39"/>
      <c r="M10" s="39"/>
      <c r="N10" s="40"/>
      <c r="O10" s="38" t="s">
        <v>19</v>
      </c>
      <c r="P10" s="39"/>
      <c r="Q10" s="39"/>
      <c r="R10" s="40"/>
    </row>
    <row r="11" spans="2:18" ht="15.75" thickBot="1" x14ac:dyDescent="0.3">
      <c r="B11" s="44"/>
      <c r="C11" s="8" t="s">
        <v>206</v>
      </c>
      <c r="D11" s="9" t="s">
        <v>190</v>
      </c>
      <c r="E11" s="14">
        <f>(((120+48.86)*100)/(120+46.25))-100</f>
        <v>1.5699248120300808</v>
      </c>
      <c r="F11" s="24">
        <v>363</v>
      </c>
      <c r="G11" s="8" t="s">
        <v>214</v>
      </c>
      <c r="H11" s="9" t="s">
        <v>191</v>
      </c>
      <c r="I11" s="17">
        <f>((75.81*100)/(76.65))-100</f>
        <v>-1.0958904109589156</v>
      </c>
      <c r="J11" s="24">
        <v>394</v>
      </c>
      <c r="K11" s="20" t="s">
        <v>221</v>
      </c>
      <c r="L11" s="9" t="s">
        <v>192</v>
      </c>
      <c r="M11" s="17">
        <f>((35.21*100)/(35.65))-100</f>
        <v>-1.2342215988779799</v>
      </c>
      <c r="N11" s="24">
        <v>368</v>
      </c>
      <c r="O11" s="8" t="s">
        <v>203</v>
      </c>
      <c r="P11" s="9" t="s">
        <v>193</v>
      </c>
      <c r="Q11" s="17">
        <f>((((4*60)+50.05)*100)/((4*60)+59.27))-100</f>
        <v>-3.0808300197146394</v>
      </c>
      <c r="R11" s="24">
        <v>391</v>
      </c>
    </row>
    <row r="12" spans="2:18" ht="15.75" thickBot="1" x14ac:dyDescent="0.3">
      <c r="B12" s="41" t="s">
        <v>175</v>
      </c>
      <c r="C12" s="35" t="s">
        <v>177</v>
      </c>
      <c r="D12" s="36"/>
      <c r="E12" s="36"/>
      <c r="F12" s="37"/>
      <c r="G12" s="35" t="s">
        <v>19</v>
      </c>
      <c r="H12" s="36"/>
      <c r="I12" s="36"/>
      <c r="J12" s="37"/>
      <c r="K12" s="35" t="s">
        <v>20</v>
      </c>
      <c r="L12" s="36"/>
      <c r="M12" s="36"/>
      <c r="N12" s="37"/>
      <c r="O12" s="35" t="s">
        <v>24</v>
      </c>
      <c r="P12" s="36"/>
      <c r="Q12" s="36"/>
      <c r="R12" s="37"/>
    </row>
    <row r="13" spans="2:18" ht="15.75" thickBot="1" x14ac:dyDescent="0.3">
      <c r="B13" s="42"/>
      <c r="C13" s="6" t="s">
        <v>211</v>
      </c>
      <c r="D13" s="7" t="s">
        <v>197</v>
      </c>
      <c r="E13" s="15">
        <f>((((25*60)+0.98)*100)/((23*60)+29.02))-100</f>
        <v>6.5265219798157545</v>
      </c>
      <c r="F13" s="23">
        <v>230</v>
      </c>
      <c r="G13" s="6" t="s">
        <v>204</v>
      </c>
      <c r="H13" s="5" t="s">
        <v>196</v>
      </c>
      <c r="I13" s="14">
        <f>(((378.12*100)/(366.59))-100)</f>
        <v>3.1452030879183894</v>
      </c>
      <c r="J13" s="23">
        <v>238</v>
      </c>
      <c r="K13" s="6" t="s">
        <v>219</v>
      </c>
      <c r="L13" s="5" t="s">
        <v>195</v>
      </c>
      <c r="M13" s="14">
        <f>((177.4*100)/(173.82))-100</f>
        <v>2.0596018870095492</v>
      </c>
      <c r="N13" s="23">
        <v>175</v>
      </c>
      <c r="O13" s="6" t="s">
        <v>216</v>
      </c>
      <c r="P13" s="5" t="s">
        <v>194</v>
      </c>
      <c r="Q13" s="17">
        <f>((183.33*100)/(185.53))-100</f>
        <v>-1.1857920551932324</v>
      </c>
      <c r="R13" s="23">
        <v>193</v>
      </c>
    </row>
    <row r="14" spans="2:18" ht="15.75" thickBot="1" x14ac:dyDescent="0.3">
      <c r="B14" s="43" t="s">
        <v>176</v>
      </c>
      <c r="C14" s="38" t="s">
        <v>32</v>
      </c>
      <c r="D14" s="39"/>
      <c r="E14" s="39"/>
      <c r="F14" s="40"/>
      <c r="G14" s="38" t="s">
        <v>33</v>
      </c>
      <c r="H14" s="39"/>
      <c r="I14" s="39"/>
      <c r="J14" s="40"/>
      <c r="K14" s="38" t="s">
        <v>20</v>
      </c>
      <c r="L14" s="39"/>
      <c r="M14" s="39"/>
      <c r="N14" s="40"/>
      <c r="O14" s="38" t="s">
        <v>21</v>
      </c>
      <c r="P14" s="39"/>
      <c r="Q14" s="39"/>
      <c r="R14" s="40"/>
    </row>
    <row r="15" spans="2:18" ht="15.75" thickBot="1" x14ac:dyDescent="0.3">
      <c r="B15" s="44"/>
      <c r="C15" s="8" t="s">
        <v>117</v>
      </c>
      <c r="D15" s="9" t="s">
        <v>198</v>
      </c>
      <c r="E15" s="17"/>
      <c r="F15" s="22">
        <v>334</v>
      </c>
      <c r="G15" s="8" t="s">
        <v>218</v>
      </c>
      <c r="H15" s="9" t="s">
        <v>199</v>
      </c>
      <c r="I15" s="17">
        <f>((64.44*100)/(65.47))-100</f>
        <v>-1.5732396517488922</v>
      </c>
      <c r="J15" s="22">
        <v>424</v>
      </c>
      <c r="K15" s="8" t="s">
        <v>213</v>
      </c>
      <c r="L15" s="9" t="s">
        <v>200</v>
      </c>
      <c r="M15" s="14">
        <f>((127.37*100)/(124.27))-100</f>
        <v>2.4945682787478916</v>
      </c>
      <c r="N15" s="22">
        <v>474</v>
      </c>
      <c r="O15" s="8" t="s">
        <v>209</v>
      </c>
      <c r="P15" s="9" t="s">
        <v>201</v>
      </c>
      <c r="Q15" s="14">
        <f>((56.46*100)/(56.44))-100</f>
        <v>3.5435861091428933E-2</v>
      </c>
      <c r="R15" s="22">
        <v>504</v>
      </c>
    </row>
    <row r="16" spans="2:18" ht="15.75" thickBot="1" x14ac:dyDescent="0.3">
      <c r="B16" s="41" t="s">
        <v>222</v>
      </c>
      <c r="C16" s="35" t="s">
        <v>36</v>
      </c>
      <c r="D16" s="36"/>
      <c r="E16" s="36"/>
      <c r="F16" s="37"/>
      <c r="G16" s="35" t="s">
        <v>34</v>
      </c>
      <c r="H16" s="36"/>
      <c r="I16" s="36"/>
      <c r="J16" s="37"/>
      <c r="K16" s="35" t="s">
        <v>26</v>
      </c>
      <c r="L16" s="36"/>
      <c r="M16" s="36"/>
      <c r="N16" s="37"/>
      <c r="O16" s="35" t="s">
        <v>35</v>
      </c>
      <c r="P16" s="36"/>
      <c r="Q16" s="36"/>
      <c r="R16" s="37"/>
    </row>
    <row r="17" spans="2:18" ht="15.75" thickBot="1" x14ac:dyDescent="0.3">
      <c r="B17" s="42"/>
      <c r="C17" s="6" t="s">
        <v>223</v>
      </c>
      <c r="D17" s="7" t="s">
        <v>224</v>
      </c>
      <c r="E17" s="18">
        <f>((25.79*100)/(26.35))-100</f>
        <v>-2.1252371916508537</v>
      </c>
      <c r="F17" s="21">
        <v>484</v>
      </c>
      <c r="G17" s="6" t="s">
        <v>225</v>
      </c>
      <c r="H17" s="5" t="s">
        <v>226</v>
      </c>
      <c r="I17" s="17">
        <f>((28.72*100)/(28.73))-100</f>
        <v>-3.4806822137142035E-2</v>
      </c>
      <c r="J17" s="21">
        <v>437</v>
      </c>
      <c r="K17" s="6" t="s">
        <v>227</v>
      </c>
      <c r="L17" s="5" t="s">
        <v>228</v>
      </c>
      <c r="M17" s="17">
        <f>((31.64*100)/(32.1))-100</f>
        <v>-1.4330218068535885</v>
      </c>
      <c r="N17" s="21">
        <v>346</v>
      </c>
      <c r="O17" s="6" t="s">
        <v>229</v>
      </c>
      <c r="P17" s="5" t="s">
        <v>230</v>
      </c>
      <c r="Q17" s="17">
        <f>((66.69*100)/(67.69))-100</f>
        <v>-1.4773230905599064</v>
      </c>
      <c r="R17" s="21">
        <v>438</v>
      </c>
    </row>
  </sheetData>
  <mergeCells count="51">
    <mergeCell ref="B12:B13"/>
    <mergeCell ref="C12:F12"/>
    <mergeCell ref="G12:J12"/>
    <mergeCell ref="K12:N12"/>
    <mergeCell ref="O12:R12"/>
    <mergeCell ref="B14:B15"/>
    <mergeCell ref="C14:F14"/>
    <mergeCell ref="G14:J14"/>
    <mergeCell ref="K14:N14"/>
    <mergeCell ref="O14:R14"/>
    <mergeCell ref="B8:B9"/>
    <mergeCell ref="C8:F8"/>
    <mergeCell ref="G8:J8"/>
    <mergeCell ref="K8:N8"/>
    <mergeCell ref="O8:R8"/>
    <mergeCell ref="B10:B11"/>
    <mergeCell ref="C10:F10"/>
    <mergeCell ref="G10:J10"/>
    <mergeCell ref="K10:N10"/>
    <mergeCell ref="O10:R10"/>
    <mergeCell ref="B4:B5"/>
    <mergeCell ref="C4:F4"/>
    <mergeCell ref="G4:J4"/>
    <mergeCell ref="K4:N4"/>
    <mergeCell ref="O4:R4"/>
    <mergeCell ref="B6:B7"/>
    <mergeCell ref="C6:F6"/>
    <mergeCell ref="G6:J6"/>
    <mergeCell ref="K6:N6"/>
    <mergeCell ref="O6:R6"/>
    <mergeCell ref="B16:B17"/>
    <mergeCell ref="C16:F16"/>
    <mergeCell ref="G16:J16"/>
    <mergeCell ref="K16:N16"/>
    <mergeCell ref="O16:R16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R3"/>
    <mergeCell ref="M2:M3"/>
    <mergeCell ref="N2:N3"/>
    <mergeCell ref="O2:O3"/>
    <mergeCell ref="P2:P3"/>
    <mergeCell ref="Q2:Q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CHICAS</vt:lpstr>
      <vt:lpstr>CHICOS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2016-02-17T23:27:30Z</dcterms:modified>
</cp:coreProperties>
</file>